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GABINETE\Termo de Referencia\TR Diversos 2024\TR Remanejamentos de Redes Elétricas = 2º subsolo\Planilhas\"/>
    </mc:Choice>
  </mc:AlternateContent>
  <bookViews>
    <workbookView xWindow="0" yWindow="0" windowWidth="28800" windowHeight="12300"/>
  </bookViews>
  <sheets>
    <sheet name="Orçamento" sheetId="7" r:id="rId1"/>
    <sheet name="Composição BDI" sheetId="3" r:id="rId2"/>
    <sheet name="Cronograma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7" l="1"/>
  <c r="G13" i="2" l="1"/>
  <c r="E15" i="7" l="1"/>
  <c r="F15" i="7" s="1"/>
  <c r="F12" i="7"/>
  <c r="B12" i="2"/>
  <c r="E14" i="7"/>
  <c r="F14" i="7" s="1"/>
  <c r="D33" i="7"/>
  <c r="F31" i="7"/>
  <c r="F16" i="2" s="1"/>
  <c r="G16" i="2" s="1"/>
  <c r="B29" i="7"/>
  <c r="B27" i="7"/>
  <c r="B21" i="7"/>
  <c r="B23" i="7" s="1"/>
  <c r="B19" i="7"/>
  <c r="B17" i="7"/>
  <c r="B14" i="7"/>
  <c r="B11" i="7"/>
  <c r="B9" i="7"/>
  <c r="E7" i="7"/>
  <c r="F7" i="7" s="1"/>
  <c r="E6" i="7" l="1"/>
  <c r="E19" i="7" s="1"/>
  <c r="F19" i="7" s="1"/>
  <c r="F10" i="2" s="1"/>
  <c r="G10" i="2" s="1"/>
  <c r="F8" i="2"/>
  <c r="G8" i="2" s="1"/>
  <c r="E11" i="7" l="1"/>
  <c r="F11" i="7" s="1"/>
  <c r="F7" i="2" s="1"/>
  <c r="G7" i="2" s="1"/>
  <c r="E27" i="7"/>
  <c r="F27" i="7" s="1"/>
  <c r="F14" i="2" s="1"/>
  <c r="G14" i="2" s="1"/>
  <c r="E9" i="7"/>
  <c r="F9" i="7" s="1"/>
  <c r="F6" i="2" s="1"/>
  <c r="G6" i="2" s="1"/>
  <c r="F6" i="7"/>
  <c r="F5" i="2" s="1"/>
  <c r="G5" i="2" s="1"/>
  <c r="E21" i="7"/>
  <c r="F21" i="7" s="1"/>
  <c r="F11" i="2" s="1"/>
  <c r="G11" i="2" s="1"/>
  <c r="E29" i="7"/>
  <c r="F29" i="7" s="1"/>
  <c r="F15" i="2" s="1"/>
  <c r="G15" i="2" s="1"/>
  <c r="D8" i="2"/>
  <c r="E17" i="7" l="1"/>
  <c r="F17" i="7" s="1"/>
  <c r="F9" i="2" s="1"/>
  <c r="G9" i="2" s="1"/>
  <c r="F30" i="7"/>
  <c r="E23" i="7"/>
  <c r="F23" i="7" s="1"/>
  <c r="E8" i="2"/>
  <c r="F12" i="2" l="1"/>
  <c r="F24" i="7"/>
  <c r="F32" i="7" s="1"/>
  <c r="F33" i="7" s="1"/>
  <c r="F34" i="7" s="1"/>
  <c r="E16" i="2"/>
  <c r="G12" i="2" l="1"/>
  <c r="E12" i="2"/>
  <c r="F17" i="2"/>
  <c r="B20" i="3"/>
  <c r="B17" i="3" s="1"/>
  <c r="B18" i="3" s="1"/>
  <c r="G17" i="2" l="1"/>
  <c r="F18" i="2"/>
  <c r="G18" i="2" s="1"/>
  <c r="C6" i="2"/>
  <c r="D6" i="2" s="1"/>
  <c r="C5" i="2"/>
  <c r="D5" i="2" l="1"/>
  <c r="E11" i="2"/>
  <c r="E14" i="2"/>
  <c r="E15" i="2"/>
  <c r="D9" i="2"/>
  <c r="E9" i="2" s="1"/>
  <c r="D10" i="2"/>
  <c r="E10" i="2" s="1"/>
  <c r="C7" i="2"/>
  <c r="C17" i="2" s="1"/>
  <c r="E17" i="2" l="1"/>
  <c r="E18" i="2" s="1"/>
  <c r="E19" i="2" s="1"/>
  <c r="F19" i="2"/>
  <c r="G19" i="2" s="1"/>
  <c r="C18" i="2"/>
  <c r="C19" i="2" s="1"/>
  <c r="C20" i="2" s="1"/>
  <c r="D7" i="2"/>
  <c r="D17" i="2" l="1"/>
  <c r="D18" i="2" s="1"/>
  <c r="D19" i="2" l="1"/>
  <c r="D20" i="2" s="1"/>
  <c r="E20" i="2" s="1"/>
</calcChain>
</file>

<file path=xl/sharedStrings.xml><?xml version="1.0" encoding="utf-8"?>
<sst xmlns="http://schemas.openxmlformats.org/spreadsheetml/2006/main" count="141" uniqueCount="97">
  <si>
    <t xml:space="preserve">Item </t>
  </si>
  <si>
    <t>Serviços</t>
  </si>
  <si>
    <t>Unid</t>
  </si>
  <si>
    <t>Preço (R$)</t>
  </si>
  <si>
    <t>Unit.</t>
  </si>
  <si>
    <t>Total</t>
  </si>
  <si>
    <t>1.0</t>
  </si>
  <si>
    <t xml:space="preserve"> Projeto Executivo e  Orçamento para remanejamentos de redes elétricas </t>
  </si>
  <si>
    <t>1.1</t>
  </si>
  <si>
    <t>1.2</t>
  </si>
  <si>
    <t>1.3</t>
  </si>
  <si>
    <t>Elaboração do Projeto Executivo</t>
  </si>
  <si>
    <t>Memorial Explicativo/Justificativo</t>
  </si>
  <si>
    <t>Qdade</t>
  </si>
  <si>
    <t>1.4</t>
  </si>
  <si>
    <t>1.5</t>
  </si>
  <si>
    <t>1.6</t>
  </si>
  <si>
    <t>1.7</t>
  </si>
  <si>
    <t>Especificações de serviços e materiais</t>
  </si>
  <si>
    <t>Orçamento</t>
  </si>
  <si>
    <t>Cronograma Físico-Financeiro</t>
  </si>
  <si>
    <t>2.0</t>
  </si>
  <si>
    <t>2.1</t>
  </si>
  <si>
    <t>Mapeamento do Sistema atual</t>
  </si>
  <si>
    <t>Solução Proposta</t>
  </si>
  <si>
    <t>3.0</t>
  </si>
  <si>
    <t>PLANIHA DE COMPOSIÇÃO DO BDI</t>
  </si>
  <si>
    <t>1) Taxa de rateio da administração central/custos indiretos, risco, seguro e garantia do empreendimento;</t>
  </si>
  <si>
    <t>CPRB (Opção de folha não desonerada)</t>
  </si>
  <si>
    <t>OBS: A empresa deverá apresentar o cálculo do BDI de acordo com os limites mínimos e máximos dos quartis constantes das páginas nº 1 e 2 do Acórdão do TCU nº 2622/2013 - Plenário.</t>
  </si>
  <si>
    <t>%</t>
  </si>
  <si>
    <t>h</t>
  </si>
  <si>
    <t>1.3.1</t>
  </si>
  <si>
    <t>1.4.1</t>
  </si>
  <si>
    <t>1.4.2</t>
  </si>
  <si>
    <t>Cadista</t>
  </si>
  <si>
    <t>1.5.1</t>
  </si>
  <si>
    <t>1.6.1</t>
  </si>
  <si>
    <t>1.7.1</t>
  </si>
  <si>
    <t>Fonte de Preços</t>
  </si>
  <si>
    <t>AC = Taxa de rateio da administração central e custos indiretos (transportes, alimentação, equipamentos, etc.)</t>
  </si>
  <si>
    <t>mês</t>
  </si>
  <si>
    <t>unid</t>
  </si>
  <si>
    <t>SOMA TOTAL (Soma 1.0 + Soma 2.0 +Soma 3.0)</t>
  </si>
  <si>
    <t>4.0</t>
  </si>
  <si>
    <t xml:space="preserve">BDI </t>
  </si>
  <si>
    <t xml:space="preserve">1.1.1 </t>
  </si>
  <si>
    <t>1.1.2</t>
  </si>
  <si>
    <t>1.2.1</t>
  </si>
  <si>
    <t># Estudos/análise dos projetos existentes
# Levantamentos/mapeamento físico das redes a serem remanejadas
# Mapeamento do local para a instalação das novas redes</t>
  </si>
  <si>
    <t>Item</t>
  </si>
  <si>
    <t>Atividade</t>
  </si>
  <si>
    <t>Fase/mês/dia</t>
  </si>
  <si>
    <t>Valor do Item</t>
  </si>
  <si>
    <t>TOTAL GERAL MENSAL</t>
  </si>
  <si>
    <t>TOTAL GERAL MENSAL ACUMULADO</t>
  </si>
  <si>
    <t>Soma 1</t>
  </si>
  <si>
    <t>Soma 2</t>
  </si>
  <si>
    <t>TOTAL GERAL (SOMA TOTAL + BDI)</t>
  </si>
  <si>
    <r>
      <t xml:space="preserve">SOMA TOTAL </t>
    </r>
    <r>
      <rPr>
        <sz val="8"/>
        <color theme="1"/>
        <rFont val="Calibri"/>
        <family val="2"/>
        <scheme val="minor"/>
      </rPr>
      <t xml:space="preserve"> (1.0 + 2.0 + 3.0)</t>
    </r>
  </si>
  <si>
    <r>
      <rPr>
        <b/>
        <sz val="8"/>
        <rFont val="Times New Roman"/>
        <family val="1"/>
      </rPr>
      <t>CÁLCULO DO BDI</t>
    </r>
  </si>
  <si>
    <t>2) Taxa das despesas financeiras;</t>
  </si>
  <si>
    <t>3) Taxa de lucro;</t>
  </si>
  <si>
    <t>4) Percentuais de tributos incidentes sobre o preço do serviço (ISS, PIS, COFINS e CPRB).</t>
  </si>
  <si>
    <r>
      <rPr>
        <b/>
        <sz val="8"/>
        <rFont val="Times New Roman"/>
        <family val="1"/>
      </rPr>
      <t>BDI = { [ (1 + AC + R + S + G) (1 + DF) (1 + L) ] / (1 - T) } - 1</t>
    </r>
  </si>
  <si>
    <t>Sendo:</t>
  </si>
  <si>
    <r>
      <rPr>
        <b/>
        <sz val="8"/>
        <rFont val="Times New Roman"/>
        <family val="1"/>
      </rPr>
      <t>BDI para serviços:</t>
    </r>
  </si>
  <si>
    <t>R = Taxa de riscos e imprevistos do empreendimento</t>
  </si>
  <si>
    <t>SG = Taxa de seguros e garantias do empreendimento</t>
  </si>
  <si>
    <t>DF = Taxa das despesas financeiras</t>
  </si>
  <si>
    <t>L = Taxa de lucro</t>
  </si>
  <si>
    <t>T = Taxa de tributos</t>
  </si>
  <si>
    <r>
      <rPr>
        <b/>
        <sz val="8"/>
        <rFont val="Times New Roman"/>
        <family val="1"/>
      </rPr>
      <t>Tributos para Serviços</t>
    </r>
  </si>
  <si>
    <t>ISS</t>
  </si>
  <si>
    <t>PIS</t>
  </si>
  <si>
    <t>COFINS</t>
  </si>
  <si>
    <t>1.1.1</t>
  </si>
  <si>
    <t>Cadista - https://br.indeed.com/career/projetista-cadista/salaries</t>
  </si>
  <si>
    <t>1.3.2</t>
  </si>
  <si>
    <t>Orçamento (analítico, sintético e a Curva ABC)</t>
  </si>
  <si>
    <t>3.1</t>
  </si>
  <si>
    <t>3.2</t>
  </si>
  <si>
    <t>3.1.1</t>
  </si>
  <si>
    <t>3.2.1</t>
  </si>
  <si>
    <t>5.0</t>
  </si>
  <si>
    <t>Auxiliar Técnico / Assistente de Engenharia</t>
  </si>
  <si>
    <t>Engº de Projetos Sênior</t>
  </si>
  <si>
    <t>Elaboração do Ante Projeto / Projeto Básico</t>
  </si>
  <si>
    <t>Avaliação Técnica do Sistema Ininterrupto de Energia (UPS_Nobreak)</t>
  </si>
  <si>
    <t>Anotação de Responsabilidade Técnica - ART/CREA_DF</t>
  </si>
  <si>
    <t>Engº de Projetos Sênior - DNIT - TABELA DE PREÇOS DE CONSULTORIA - Relatório de Consolidação de Custos de Mão de Obra - mês de referência: outubro de 2024 - Código:P8067 -  R$ 30.035,94/mês</t>
  </si>
  <si>
    <t>Auxiliar Técnico / Assistente de Engenharia - SINAPI-INSUMOS/BRASÍLIA/NOV/24 - Não Desonerado - 00000532 AUXILIAR TECNICO / ASSISTENTE DE ENGENHARIA (HORISTA) H CR 31,62</t>
  </si>
  <si>
    <t>CRONOGRAMA FÍSICO FINANCEIRO
- Elaboração de Projeto Executivo e  Orçamento para instalação de redes elétricas em substituição as existentes em área adjacente ao 2º subsolo e Avaliação Técnica do Sistema Ininterrupto de Energia (UPS_Nobreak), quanto a potencia necessária ao edifício.</t>
  </si>
  <si>
    <t>Assistência técnica durante a execução da obra</t>
  </si>
  <si>
    <t xml:space="preserve"> Projeto Executivo de Engenharia Elétrica e  Orçamento </t>
  </si>
  <si>
    <t>Planilha de Custos e Formação de Preços para Elaboração de Projeto Executivo de Engenharia Elétrica e  Orçamento para instalação de redes elétricas em substituição as existentes em área adjacente ao 2º subsolo e Avaliação Técnica do Sistema Ininterrupto de Energia (UPS_Nobreak), quanto a potencia necessária ao edifício.</t>
  </si>
  <si>
    <t>Valor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</si>
</sst>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_ ;\-#,##0.00\ "/>
    <numFmt numFmtId="165" formatCode="0.0%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9" fontId="3" fillId="4" borderId="1" xfId="1" applyFont="1" applyFill="1" applyBorder="1" applyAlignment="1">
      <alignment vertical="center" wrapText="1"/>
    </xf>
    <xf numFmtId="10" fontId="3" fillId="4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3" fontId="3" fillId="4" borderId="1" xfId="1" applyNumberFormat="1" applyFont="1" applyFill="1" applyBorder="1" applyAlignment="1">
      <alignment horizontal="center" vertical="center" wrapText="1"/>
    </xf>
    <xf numFmtId="0" fontId="7" fillId="0" borderId="0" xfId="2" applyFont="1" applyBorder="1"/>
    <xf numFmtId="0" fontId="8" fillId="0" borderId="1" xfId="2" applyFont="1" applyBorder="1" applyAlignment="1">
      <alignment horizontal="left"/>
    </xf>
    <xf numFmtId="0" fontId="8" fillId="0" borderId="1" xfId="2" applyFont="1" applyBorder="1" applyAlignment="1">
      <alignment horizontal="left" vertical="top"/>
    </xf>
    <xf numFmtId="0" fontId="8" fillId="2" borderId="1" xfId="2" applyFont="1" applyFill="1" applyBorder="1" applyAlignment="1">
      <alignment horizontal="left"/>
    </xf>
    <xf numFmtId="0" fontId="8" fillId="0" borderId="1" xfId="2" applyFont="1" applyBorder="1" applyAlignment="1">
      <alignment horizontal="left" vertical="center" wrapText="1"/>
    </xf>
    <xf numFmtId="10" fontId="8" fillId="0" borderId="1" xfId="2" applyNumberFormat="1" applyFont="1" applyBorder="1" applyAlignment="1">
      <alignment horizontal="center" vertical="center"/>
    </xf>
    <xf numFmtId="0" fontId="8" fillId="0" borderId="1" xfId="2" applyFont="1" applyFill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10" fontId="6" fillId="0" borderId="1" xfId="2" applyNumberFormat="1" applyFont="1" applyBorder="1" applyAlignment="1">
      <alignment horizontal="center" vertical="center"/>
    </xf>
    <xf numFmtId="10" fontId="6" fillId="2" borderId="1" xfId="2" applyNumberFormat="1" applyFont="1" applyFill="1" applyBorder="1" applyAlignment="1">
      <alignment horizontal="center" vertical="center"/>
    </xf>
    <xf numFmtId="10" fontId="8" fillId="0" borderId="1" xfId="2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1" fontId="0" fillId="4" borderId="1" xfId="0" applyNumberFormat="1" applyFill="1" applyBorder="1"/>
    <xf numFmtId="0" fontId="5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4" fontId="3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164" fontId="4" fillId="4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25" zoomScale="170" zoomScaleNormal="170" workbookViewId="0">
      <selection activeCell="A36" sqref="A36:F40"/>
    </sheetView>
  </sheetViews>
  <sheetFormatPr defaultRowHeight="15" x14ac:dyDescent="0.25"/>
  <cols>
    <col min="1" max="1" width="5.28515625" bestFit="1" customWidth="1"/>
    <col min="2" max="2" width="47.28515625" bestFit="1" customWidth="1"/>
    <col min="3" max="3" width="4.140625" bestFit="1" customWidth="1"/>
    <col min="4" max="4" width="5.42578125" bestFit="1" customWidth="1"/>
    <col min="5" max="6" width="7.85546875" bestFit="1" customWidth="1"/>
  </cols>
  <sheetData>
    <row r="1" spans="1:6" ht="45.75" customHeight="1" x14ac:dyDescent="0.25">
      <c r="A1" s="62" t="s">
        <v>95</v>
      </c>
      <c r="B1" s="62"/>
      <c r="C1" s="62"/>
      <c r="D1" s="62"/>
      <c r="E1" s="62"/>
      <c r="F1" s="62"/>
    </row>
    <row r="2" spans="1:6" x14ac:dyDescent="0.25">
      <c r="A2" s="60" t="s">
        <v>0</v>
      </c>
      <c r="B2" s="63" t="s">
        <v>1</v>
      </c>
      <c r="C2" s="60" t="s">
        <v>2</v>
      </c>
      <c r="D2" s="64" t="s">
        <v>13</v>
      </c>
      <c r="E2" s="65" t="s">
        <v>3</v>
      </c>
      <c r="F2" s="65"/>
    </row>
    <row r="3" spans="1:6" x14ac:dyDescent="0.25">
      <c r="A3" s="60"/>
      <c r="B3" s="63"/>
      <c r="C3" s="60"/>
      <c r="D3" s="64"/>
      <c r="E3" s="8" t="s">
        <v>4</v>
      </c>
      <c r="F3" s="8" t="s">
        <v>5</v>
      </c>
    </row>
    <row r="4" spans="1:6" x14ac:dyDescent="0.25">
      <c r="A4" s="47" t="s">
        <v>6</v>
      </c>
      <c r="B4" s="48" t="s">
        <v>94</v>
      </c>
      <c r="C4" s="49"/>
      <c r="D4" s="50"/>
      <c r="E4" s="51"/>
      <c r="F4" s="51"/>
    </row>
    <row r="5" spans="1:6" ht="33.75" x14ac:dyDescent="0.25">
      <c r="A5" s="32" t="s">
        <v>8</v>
      </c>
      <c r="B5" s="33" t="s">
        <v>49</v>
      </c>
      <c r="C5" s="36"/>
      <c r="D5" s="37"/>
      <c r="E5" s="35"/>
      <c r="F5" s="38"/>
    </row>
    <row r="6" spans="1:6" x14ac:dyDescent="0.25">
      <c r="A6" s="39" t="s">
        <v>46</v>
      </c>
      <c r="B6" s="40" t="s">
        <v>86</v>
      </c>
      <c r="C6" s="36" t="s">
        <v>31</v>
      </c>
      <c r="D6" s="37">
        <v>32</v>
      </c>
      <c r="E6" s="35">
        <f>F37/220</f>
        <v>136.52699999999999</v>
      </c>
      <c r="F6" s="38">
        <f>D6*E6</f>
        <v>4368.8639999999996</v>
      </c>
    </row>
    <row r="7" spans="1:6" x14ac:dyDescent="0.25">
      <c r="A7" s="39" t="s">
        <v>47</v>
      </c>
      <c r="B7" s="40" t="s">
        <v>85</v>
      </c>
      <c r="C7" s="36" t="s">
        <v>31</v>
      </c>
      <c r="D7" s="37">
        <v>32</v>
      </c>
      <c r="E7" s="35">
        <f>F38</f>
        <v>31.62</v>
      </c>
      <c r="F7" s="38">
        <f>D7*E7</f>
        <v>1011.84</v>
      </c>
    </row>
    <row r="8" spans="1:6" x14ac:dyDescent="0.25">
      <c r="A8" s="32" t="s">
        <v>9</v>
      </c>
      <c r="B8" s="33" t="s">
        <v>12</v>
      </c>
      <c r="C8" s="8"/>
      <c r="D8" s="34"/>
      <c r="E8" s="35"/>
      <c r="F8" s="35"/>
    </row>
    <row r="9" spans="1:6" x14ac:dyDescent="0.25">
      <c r="A9" s="39" t="s">
        <v>48</v>
      </c>
      <c r="B9" s="40" t="str">
        <f>B6</f>
        <v>Engº de Projetos Sênior</v>
      </c>
      <c r="C9" s="8" t="s">
        <v>31</v>
      </c>
      <c r="D9" s="34">
        <v>32</v>
      </c>
      <c r="E9" s="35">
        <f>E6</f>
        <v>136.52699999999999</v>
      </c>
      <c r="F9" s="38">
        <f>D9*E9</f>
        <v>4368.8639999999996</v>
      </c>
    </row>
    <row r="10" spans="1:6" x14ac:dyDescent="0.25">
      <c r="A10" s="32" t="s">
        <v>10</v>
      </c>
      <c r="B10" s="33" t="s">
        <v>87</v>
      </c>
      <c r="C10" s="36"/>
      <c r="D10" s="37"/>
      <c r="E10" s="35"/>
      <c r="F10" s="35"/>
    </row>
    <row r="11" spans="1:6" x14ac:dyDescent="0.25">
      <c r="A11" s="39" t="s">
        <v>32</v>
      </c>
      <c r="B11" s="40" t="str">
        <f>B6</f>
        <v>Engº de Projetos Sênior</v>
      </c>
      <c r="C11" s="36" t="s">
        <v>31</v>
      </c>
      <c r="D11" s="37">
        <v>40</v>
      </c>
      <c r="E11" s="35">
        <f>E6</f>
        <v>136.52699999999999</v>
      </c>
      <c r="F11" s="38">
        <f>D11*E11</f>
        <v>5461.08</v>
      </c>
    </row>
    <row r="12" spans="1:6" x14ac:dyDescent="0.25">
      <c r="A12" s="39" t="s">
        <v>78</v>
      </c>
      <c r="B12" s="40" t="s">
        <v>35</v>
      </c>
      <c r="C12" s="36" t="s">
        <v>31</v>
      </c>
      <c r="D12" s="37">
        <v>40</v>
      </c>
      <c r="E12" s="35">
        <v>13.15</v>
      </c>
      <c r="F12" s="38">
        <f>D12*E12</f>
        <v>526</v>
      </c>
    </row>
    <row r="13" spans="1:6" x14ac:dyDescent="0.25">
      <c r="A13" s="32" t="s">
        <v>14</v>
      </c>
      <c r="B13" s="33" t="s">
        <v>11</v>
      </c>
      <c r="C13" s="36"/>
      <c r="D13" s="37"/>
      <c r="E13" s="35"/>
      <c r="F13" s="35"/>
    </row>
    <row r="14" spans="1:6" x14ac:dyDescent="0.25">
      <c r="A14" s="39" t="s">
        <v>33</v>
      </c>
      <c r="B14" s="40" t="str">
        <f>B6</f>
        <v>Engº de Projetos Sênior</v>
      </c>
      <c r="C14" s="36" t="s">
        <v>41</v>
      </c>
      <c r="D14" s="74">
        <v>1.1000000000000001</v>
      </c>
      <c r="E14" s="35">
        <f>F37</f>
        <v>30035.94</v>
      </c>
      <c r="F14" s="38">
        <f>D14*E14</f>
        <v>33039.534</v>
      </c>
    </row>
    <row r="15" spans="1:6" x14ac:dyDescent="0.25">
      <c r="A15" s="39" t="s">
        <v>34</v>
      </c>
      <c r="B15" s="40" t="s">
        <v>35</v>
      </c>
      <c r="C15" s="36" t="s">
        <v>41</v>
      </c>
      <c r="D15" s="74">
        <v>1.5</v>
      </c>
      <c r="E15" s="35">
        <f>F39</f>
        <v>2561</v>
      </c>
      <c r="F15" s="38">
        <f>D15*E15</f>
        <v>3841.5</v>
      </c>
    </row>
    <row r="16" spans="1:6" x14ac:dyDescent="0.25">
      <c r="A16" s="32" t="s">
        <v>15</v>
      </c>
      <c r="B16" s="33" t="s">
        <v>18</v>
      </c>
      <c r="C16" s="36"/>
      <c r="D16" s="37"/>
      <c r="E16" s="35"/>
      <c r="F16" s="35"/>
    </row>
    <row r="17" spans="1:6" x14ac:dyDescent="0.25">
      <c r="A17" s="39" t="s">
        <v>36</v>
      </c>
      <c r="B17" s="40" t="str">
        <f>B6</f>
        <v>Engº de Projetos Sênior</v>
      </c>
      <c r="C17" s="36" t="s">
        <v>31</v>
      </c>
      <c r="D17" s="37">
        <v>40</v>
      </c>
      <c r="E17" s="35">
        <f>E11</f>
        <v>136.52699999999999</v>
      </c>
      <c r="F17" s="38">
        <f>D17*E17</f>
        <v>5461.08</v>
      </c>
    </row>
    <row r="18" spans="1:6" x14ac:dyDescent="0.25">
      <c r="A18" s="32" t="s">
        <v>16</v>
      </c>
      <c r="B18" s="33" t="s">
        <v>19</v>
      </c>
      <c r="C18" s="36"/>
      <c r="D18" s="37"/>
      <c r="E18" s="35"/>
      <c r="F18" s="35"/>
    </row>
    <row r="19" spans="1:6" x14ac:dyDescent="0.25">
      <c r="A19" s="39" t="s">
        <v>37</v>
      </c>
      <c r="B19" s="40" t="str">
        <f>B6</f>
        <v>Engº de Projetos Sênior</v>
      </c>
      <c r="C19" s="36" t="s">
        <v>31</v>
      </c>
      <c r="D19" s="37">
        <v>40</v>
      </c>
      <c r="E19" s="35">
        <f>E6</f>
        <v>136.52699999999999</v>
      </c>
      <c r="F19" s="38">
        <f>D19*E19</f>
        <v>5461.08</v>
      </c>
    </row>
    <row r="20" spans="1:6" x14ac:dyDescent="0.25">
      <c r="A20" s="32" t="s">
        <v>17</v>
      </c>
      <c r="B20" s="33" t="s">
        <v>20</v>
      </c>
      <c r="C20" s="36"/>
      <c r="D20" s="37"/>
      <c r="E20" s="35"/>
      <c r="F20" s="35"/>
    </row>
    <row r="21" spans="1:6" x14ac:dyDescent="0.25">
      <c r="A21" s="39" t="s">
        <v>38</v>
      </c>
      <c r="B21" s="40" t="str">
        <f>B6</f>
        <v>Engº de Projetos Sênior</v>
      </c>
      <c r="C21" s="36" t="s">
        <v>31</v>
      </c>
      <c r="D21" s="37">
        <v>24</v>
      </c>
      <c r="E21" s="35">
        <f>E6</f>
        <v>136.52699999999999</v>
      </c>
      <c r="F21" s="38">
        <f>D21*E21</f>
        <v>3276.6479999999997</v>
      </c>
    </row>
    <row r="22" spans="1:6" x14ac:dyDescent="0.25">
      <c r="A22" s="4" t="s">
        <v>21</v>
      </c>
      <c r="B22" s="5" t="s">
        <v>93</v>
      </c>
      <c r="C22" s="31"/>
      <c r="D22" s="41"/>
      <c r="E22" s="31"/>
      <c r="F22" s="35"/>
    </row>
    <row r="23" spans="1:6" x14ac:dyDescent="0.25">
      <c r="A23" s="32" t="s">
        <v>22</v>
      </c>
      <c r="B23" s="40" t="str">
        <f>B21</f>
        <v>Engº de Projetos Sênior</v>
      </c>
      <c r="C23" s="36" t="s">
        <v>31</v>
      </c>
      <c r="D23" s="37">
        <v>32</v>
      </c>
      <c r="E23" s="35">
        <f>E21</f>
        <v>136.52699999999999</v>
      </c>
      <c r="F23" s="38">
        <f>D23*E23</f>
        <v>4368.8639999999996</v>
      </c>
    </row>
    <row r="24" spans="1:6" x14ac:dyDescent="0.25">
      <c r="A24" s="39"/>
      <c r="B24" s="42" t="s">
        <v>56</v>
      </c>
      <c r="C24" s="36"/>
      <c r="D24" s="37"/>
      <c r="E24" s="35"/>
      <c r="F24" s="38">
        <f>SUM(F6:F23)</f>
        <v>71185.354000000007</v>
      </c>
    </row>
    <row r="25" spans="1:6" x14ac:dyDescent="0.25">
      <c r="A25" s="47" t="s">
        <v>25</v>
      </c>
      <c r="B25" s="48" t="s">
        <v>88</v>
      </c>
      <c r="C25" s="52"/>
      <c r="D25" s="53"/>
      <c r="E25" s="51"/>
      <c r="F25" s="54"/>
    </row>
    <row r="26" spans="1:6" x14ac:dyDescent="0.25">
      <c r="A26" s="32" t="s">
        <v>80</v>
      </c>
      <c r="B26" s="33" t="s">
        <v>23</v>
      </c>
      <c r="C26" s="36"/>
      <c r="D26" s="37"/>
      <c r="E26" s="35"/>
      <c r="F26" s="44"/>
    </row>
    <row r="27" spans="1:6" x14ac:dyDescent="0.25">
      <c r="A27" s="39" t="s">
        <v>82</v>
      </c>
      <c r="B27" s="40" t="str">
        <f>B6</f>
        <v>Engº de Projetos Sênior</v>
      </c>
      <c r="C27" s="36" t="s">
        <v>31</v>
      </c>
      <c r="D27" s="37">
        <v>24</v>
      </c>
      <c r="E27" s="35">
        <f>E6</f>
        <v>136.52699999999999</v>
      </c>
      <c r="F27" s="44">
        <f>D27*E27</f>
        <v>3276.6479999999997</v>
      </c>
    </row>
    <row r="28" spans="1:6" x14ac:dyDescent="0.25">
      <c r="A28" s="32" t="s">
        <v>81</v>
      </c>
      <c r="B28" s="33" t="s">
        <v>24</v>
      </c>
      <c r="C28" s="36"/>
      <c r="D28" s="37"/>
      <c r="E28" s="35"/>
      <c r="F28" s="43"/>
    </row>
    <row r="29" spans="1:6" x14ac:dyDescent="0.25">
      <c r="A29" s="39" t="s">
        <v>83</v>
      </c>
      <c r="B29" s="40" t="str">
        <f>B6</f>
        <v>Engº de Projetos Sênior</v>
      </c>
      <c r="C29" s="36" t="s">
        <v>31</v>
      </c>
      <c r="D29" s="37">
        <v>16</v>
      </c>
      <c r="E29" s="35">
        <f>E6</f>
        <v>136.52699999999999</v>
      </c>
      <c r="F29" s="44">
        <f>D29*E29</f>
        <v>2184.4319999999998</v>
      </c>
    </row>
    <row r="30" spans="1:6" x14ac:dyDescent="0.25">
      <c r="A30" s="39"/>
      <c r="B30" s="42" t="s">
        <v>57</v>
      </c>
      <c r="C30" s="36"/>
      <c r="D30" s="37"/>
      <c r="E30" s="35"/>
      <c r="F30" s="44">
        <f>SUM(F27:F29)</f>
        <v>5461.08</v>
      </c>
    </row>
    <row r="31" spans="1:6" x14ac:dyDescent="0.25">
      <c r="A31" s="47" t="s">
        <v>44</v>
      </c>
      <c r="B31" s="48" t="s">
        <v>89</v>
      </c>
      <c r="C31" s="52" t="s">
        <v>42</v>
      </c>
      <c r="D31" s="53">
        <v>1</v>
      </c>
      <c r="E31" s="54">
        <v>271.47000000000003</v>
      </c>
      <c r="F31" s="55">
        <f>D31*E31</f>
        <v>271.47000000000003</v>
      </c>
    </row>
    <row r="32" spans="1:6" x14ac:dyDescent="0.25">
      <c r="A32" s="8"/>
      <c r="B32" s="45" t="s">
        <v>59</v>
      </c>
      <c r="C32" s="36"/>
      <c r="D32" s="37"/>
      <c r="E32" s="43"/>
      <c r="F32" s="44">
        <f>F24+F30+F31</f>
        <v>76917.90400000001</v>
      </c>
    </row>
    <row r="33" spans="1:6" x14ac:dyDescent="0.25">
      <c r="A33" s="4" t="s">
        <v>84</v>
      </c>
      <c r="B33" s="5" t="s">
        <v>45</v>
      </c>
      <c r="C33" s="36" t="s">
        <v>30</v>
      </c>
      <c r="D33" s="46">
        <f>'Composição BDI'!B18</f>
        <v>0.25195605911330032</v>
      </c>
      <c r="E33" s="43"/>
      <c r="F33" s="44">
        <f>D33*F32</f>
        <v>19379.931967095163</v>
      </c>
    </row>
    <row r="34" spans="1:6" x14ac:dyDescent="0.25">
      <c r="A34" s="8"/>
      <c r="B34" s="45" t="s">
        <v>58</v>
      </c>
      <c r="C34" s="36"/>
      <c r="D34" s="37"/>
      <c r="E34" s="36"/>
      <c r="F34" s="44">
        <f>SUM(F32:F33)</f>
        <v>96297.835967095176</v>
      </c>
    </row>
    <row r="35" spans="1:6" x14ac:dyDescent="0.25">
      <c r="A35" s="60"/>
      <c r="B35" s="60"/>
      <c r="C35" s="60"/>
      <c r="D35" s="60"/>
      <c r="E35" s="60"/>
      <c r="F35" s="60"/>
    </row>
    <row r="36" spans="1:6" ht="27.75" customHeight="1" x14ac:dyDescent="0.25">
      <c r="A36" s="32" t="s">
        <v>50</v>
      </c>
      <c r="B36" s="75" t="s">
        <v>39</v>
      </c>
      <c r="C36" s="75"/>
      <c r="D36" s="75"/>
      <c r="E36" s="75"/>
      <c r="F36" s="58" t="s">
        <v>96</v>
      </c>
    </row>
    <row r="37" spans="1:6" ht="31.5" customHeight="1" x14ac:dyDescent="0.25">
      <c r="A37" s="32" t="s">
        <v>76</v>
      </c>
      <c r="B37" s="61" t="s">
        <v>90</v>
      </c>
      <c r="C37" s="61"/>
      <c r="D37" s="61"/>
      <c r="E37" s="61"/>
      <c r="F37" s="38">
        <f>30035.94</f>
        <v>30035.94</v>
      </c>
    </row>
    <row r="38" spans="1:6" ht="35.25" customHeight="1" x14ac:dyDescent="0.25">
      <c r="A38" s="32" t="s">
        <v>47</v>
      </c>
      <c r="B38" s="61" t="s">
        <v>91</v>
      </c>
      <c r="C38" s="61"/>
      <c r="D38" s="61"/>
      <c r="E38" s="61"/>
      <c r="F38" s="38">
        <v>31.62</v>
      </c>
    </row>
    <row r="39" spans="1:6" ht="17.25" customHeight="1" x14ac:dyDescent="0.25">
      <c r="A39" s="32" t="s">
        <v>34</v>
      </c>
      <c r="B39" s="76" t="s">
        <v>77</v>
      </c>
      <c r="C39" s="76"/>
      <c r="D39" s="76"/>
      <c r="E39" s="76"/>
      <c r="F39" s="38">
        <v>2561</v>
      </c>
    </row>
    <row r="40" spans="1:6" x14ac:dyDescent="0.25">
      <c r="A40" s="32" t="s">
        <v>44</v>
      </c>
      <c r="B40" s="61" t="s">
        <v>89</v>
      </c>
      <c r="C40" s="61"/>
      <c r="D40" s="61"/>
      <c r="E40" s="61"/>
      <c r="F40" s="38">
        <v>271.47000000000003</v>
      </c>
    </row>
  </sheetData>
  <mergeCells count="12">
    <mergeCell ref="B40:E40"/>
    <mergeCell ref="B36:E36"/>
    <mergeCell ref="A1:F1"/>
    <mergeCell ref="A2:A3"/>
    <mergeCell ref="B2:B3"/>
    <mergeCell ref="C2:C3"/>
    <mergeCell ref="D2:D3"/>
    <mergeCell ref="E2:F2"/>
    <mergeCell ref="A35:F35"/>
    <mergeCell ref="B37:E37"/>
    <mergeCell ref="B38:E38"/>
    <mergeCell ref="B39:E39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7" zoomScale="140" zoomScaleNormal="140" workbookViewId="0">
      <selection activeCell="D27" sqref="D27"/>
    </sheetView>
  </sheetViews>
  <sheetFormatPr defaultRowHeight="15" x14ac:dyDescent="0.25"/>
  <cols>
    <col min="1" max="1" width="62.85546875" customWidth="1"/>
    <col min="2" max="2" width="10.5703125" style="1" customWidth="1"/>
  </cols>
  <sheetData>
    <row r="1" spans="1:2" x14ac:dyDescent="0.25">
      <c r="A1" s="66" t="s">
        <v>26</v>
      </c>
      <c r="B1" s="66"/>
    </row>
    <row r="2" spans="1:2" x14ac:dyDescent="0.25">
      <c r="A2" s="17"/>
      <c r="B2" s="25"/>
    </row>
    <row r="3" spans="1:2" x14ac:dyDescent="0.25">
      <c r="A3" s="67" t="s">
        <v>60</v>
      </c>
      <c r="B3" s="68"/>
    </row>
    <row r="4" spans="1:2" x14ac:dyDescent="0.25">
      <c r="A4" s="18" t="s">
        <v>27</v>
      </c>
      <c r="B4" s="26"/>
    </row>
    <row r="5" spans="1:2" x14ac:dyDescent="0.25">
      <c r="A5" s="18" t="s">
        <v>61</v>
      </c>
      <c r="B5" s="26"/>
    </row>
    <row r="6" spans="1:2" x14ac:dyDescent="0.25">
      <c r="A6" s="18" t="s">
        <v>62</v>
      </c>
      <c r="B6" s="26"/>
    </row>
    <row r="7" spans="1:2" x14ac:dyDescent="0.25">
      <c r="A7" s="18" t="s">
        <v>63</v>
      </c>
      <c r="B7" s="26"/>
    </row>
    <row r="8" spans="1:2" x14ac:dyDescent="0.25">
      <c r="A8" s="19"/>
      <c r="B8" s="26"/>
    </row>
    <row r="9" spans="1:2" x14ac:dyDescent="0.25">
      <c r="A9" s="18" t="s">
        <v>64</v>
      </c>
      <c r="B9" s="26"/>
    </row>
    <row r="10" spans="1:2" x14ac:dyDescent="0.25">
      <c r="A10" s="19" t="s">
        <v>65</v>
      </c>
      <c r="B10" s="26"/>
    </row>
    <row r="11" spans="1:2" x14ac:dyDescent="0.25">
      <c r="A11" s="20" t="s">
        <v>66</v>
      </c>
      <c r="B11" s="27"/>
    </row>
    <row r="12" spans="1:2" ht="25.5" customHeight="1" x14ac:dyDescent="0.25">
      <c r="A12" s="21" t="s">
        <v>40</v>
      </c>
      <c r="B12" s="22">
        <v>2.5000000000000001E-2</v>
      </c>
    </row>
    <row r="13" spans="1:2" x14ac:dyDescent="0.25">
      <c r="A13" s="18" t="s">
        <v>67</v>
      </c>
      <c r="B13" s="22">
        <v>1E-4</v>
      </c>
    </row>
    <row r="14" spans="1:2" x14ac:dyDescent="0.25">
      <c r="A14" s="18" t="s">
        <v>68</v>
      </c>
      <c r="B14" s="22">
        <v>1E-4</v>
      </c>
    </row>
    <row r="15" spans="1:2" x14ac:dyDescent="0.25">
      <c r="A15" s="18" t="s">
        <v>69</v>
      </c>
      <c r="B15" s="22">
        <v>5.0000000000000001E-3</v>
      </c>
    </row>
    <row r="16" spans="1:2" x14ac:dyDescent="0.25">
      <c r="A16" s="18" t="s">
        <v>70</v>
      </c>
      <c r="B16" s="22">
        <v>0.11</v>
      </c>
    </row>
    <row r="17" spans="1:2" x14ac:dyDescent="0.25">
      <c r="A17" s="18" t="s">
        <v>71</v>
      </c>
      <c r="B17" s="28">
        <f>B20</f>
        <v>8.6499999999999994E-2</v>
      </c>
    </row>
    <row r="18" spans="1:2" x14ac:dyDescent="0.25">
      <c r="A18" s="20" t="s">
        <v>64</v>
      </c>
      <c r="B18" s="29">
        <f>(((1+B12+B13+B14)*(1+B15)*(1+B16))/(1-B17))-1</f>
        <v>0.25195605911330032</v>
      </c>
    </row>
    <row r="19" spans="1:2" x14ac:dyDescent="0.25">
      <c r="A19" s="19"/>
      <c r="B19" s="26"/>
    </row>
    <row r="20" spans="1:2" x14ac:dyDescent="0.25">
      <c r="A20" s="20" t="s">
        <v>72</v>
      </c>
      <c r="B20" s="28">
        <f>SUM(B21:B24)</f>
        <v>8.6499999999999994E-2</v>
      </c>
    </row>
    <row r="21" spans="1:2" x14ac:dyDescent="0.25">
      <c r="A21" s="23" t="s">
        <v>73</v>
      </c>
      <c r="B21" s="30">
        <v>0.05</v>
      </c>
    </row>
    <row r="22" spans="1:2" x14ac:dyDescent="0.25">
      <c r="A22" s="23" t="s">
        <v>74</v>
      </c>
      <c r="B22" s="30">
        <v>6.4999999999999997E-3</v>
      </c>
    </row>
    <row r="23" spans="1:2" x14ac:dyDescent="0.25">
      <c r="A23" s="23" t="s">
        <v>75</v>
      </c>
      <c r="B23" s="30">
        <v>0.03</v>
      </c>
    </row>
    <row r="24" spans="1:2" x14ac:dyDescent="0.25">
      <c r="A24" s="23" t="s">
        <v>28</v>
      </c>
      <c r="B24" s="30">
        <v>0</v>
      </c>
    </row>
    <row r="25" spans="1:2" x14ac:dyDescent="0.25">
      <c r="A25" s="23"/>
      <c r="B25" s="30"/>
    </row>
    <row r="26" spans="1:2" x14ac:dyDescent="0.25">
      <c r="A26" s="23"/>
      <c r="B26" s="30"/>
    </row>
    <row r="27" spans="1:2" ht="29.25" customHeight="1" x14ac:dyDescent="0.25">
      <c r="A27" s="69" t="s">
        <v>29</v>
      </c>
      <c r="B27" s="70"/>
    </row>
  </sheetData>
  <mergeCells count="3">
    <mergeCell ref="A1:B1"/>
    <mergeCell ref="A3:B3"/>
    <mergeCell ref="A27:B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7" zoomScale="170" zoomScaleNormal="170" workbookViewId="0">
      <selection activeCell="I5" sqref="I5"/>
    </sheetView>
  </sheetViews>
  <sheetFormatPr defaultRowHeight="15" x14ac:dyDescent="0.25"/>
  <cols>
    <col min="1" max="1" width="4.140625" customWidth="1"/>
    <col min="2" max="2" width="32.28515625" customWidth="1"/>
    <col min="3" max="3" width="9.140625" customWidth="1"/>
    <col min="4" max="4" width="9.28515625" customWidth="1"/>
    <col min="5" max="5" width="9.85546875" customWidth="1"/>
    <col min="6" max="6" width="9.85546875" style="24" customWidth="1"/>
    <col min="7" max="7" width="7" customWidth="1"/>
  </cols>
  <sheetData>
    <row r="1" spans="1:7" ht="51" customHeight="1" x14ac:dyDescent="0.25">
      <c r="A1" s="71" t="s">
        <v>92</v>
      </c>
      <c r="B1" s="71"/>
      <c r="C1" s="71"/>
      <c r="D1" s="71"/>
      <c r="E1" s="71"/>
      <c r="F1" s="71"/>
      <c r="G1" s="71"/>
    </row>
    <row r="2" spans="1:7" x14ac:dyDescent="0.25">
      <c r="A2" s="72" t="s">
        <v>50</v>
      </c>
      <c r="B2" s="72" t="s">
        <v>51</v>
      </c>
      <c r="C2" s="73" t="s">
        <v>52</v>
      </c>
      <c r="D2" s="73"/>
      <c r="E2" s="73"/>
      <c r="F2" s="63" t="s">
        <v>53</v>
      </c>
      <c r="G2" s="63" t="s">
        <v>30</v>
      </c>
    </row>
    <row r="3" spans="1:7" x14ac:dyDescent="0.25">
      <c r="A3" s="72"/>
      <c r="B3" s="72"/>
      <c r="C3" s="8">
        <v>30</v>
      </c>
      <c r="D3" s="8">
        <v>60</v>
      </c>
      <c r="E3" s="8">
        <v>90</v>
      </c>
      <c r="F3" s="63"/>
      <c r="G3" s="63"/>
    </row>
    <row r="4" spans="1:7" ht="28.5" customHeight="1" x14ac:dyDescent="0.25">
      <c r="A4" s="4" t="s">
        <v>6</v>
      </c>
      <c r="B4" s="5" t="s">
        <v>7</v>
      </c>
      <c r="C4" s="9"/>
      <c r="D4" s="9"/>
      <c r="E4" s="9"/>
      <c r="F4" s="14"/>
      <c r="G4" s="10"/>
    </row>
    <row r="5" spans="1:7" ht="58.5" customHeight="1" x14ac:dyDescent="0.25">
      <c r="A5" s="6" t="s">
        <v>8</v>
      </c>
      <c r="B5" s="7" t="s">
        <v>49</v>
      </c>
      <c r="C5" s="57">
        <f>F5*70%</f>
        <v>3766.4927999999995</v>
      </c>
      <c r="D5" s="57">
        <f>F5-C5</f>
        <v>1614.2112000000002</v>
      </c>
      <c r="E5" s="57"/>
      <c r="F5" s="56">
        <f>Orçamento!F6+Orçamento!F7</f>
        <v>5380.7039999999997</v>
      </c>
      <c r="G5" s="59">
        <f>F5/90923.17</f>
        <v>5.917857901346818E-2</v>
      </c>
    </row>
    <row r="6" spans="1:7" x14ac:dyDescent="0.25">
      <c r="A6" s="6" t="s">
        <v>9</v>
      </c>
      <c r="B6" s="7" t="s">
        <v>12</v>
      </c>
      <c r="C6" s="57">
        <f>F6*70%</f>
        <v>3058.2047999999995</v>
      </c>
      <c r="D6" s="57">
        <f>F6-C6</f>
        <v>1310.6592000000001</v>
      </c>
      <c r="E6" s="57"/>
      <c r="F6" s="56">
        <f>Orçamento!F9</f>
        <v>4368.8639999999996</v>
      </c>
      <c r="G6" s="59">
        <f t="shared" ref="G6:G19" si="0">F6/90923.17</f>
        <v>4.8050062486822663E-2</v>
      </c>
    </row>
    <row r="7" spans="1:7" x14ac:dyDescent="0.25">
      <c r="A7" s="6" t="s">
        <v>10</v>
      </c>
      <c r="B7" s="7" t="s">
        <v>87</v>
      </c>
      <c r="C7" s="57">
        <f>F7*50%</f>
        <v>2993.54</v>
      </c>
      <c r="D7" s="57">
        <f>F7-C7</f>
        <v>2993.54</v>
      </c>
      <c r="E7" s="57"/>
      <c r="F7" s="56">
        <f>Orçamento!F11+Orçamento!F12</f>
        <v>5987.08</v>
      </c>
      <c r="G7" s="59">
        <f t="shared" si="0"/>
        <v>6.5847682169462421E-2</v>
      </c>
    </row>
    <row r="8" spans="1:7" x14ac:dyDescent="0.25">
      <c r="A8" s="6" t="s">
        <v>14</v>
      </c>
      <c r="B8" s="7" t="s">
        <v>11</v>
      </c>
      <c r="C8" s="57"/>
      <c r="D8" s="57">
        <f>F8*50%</f>
        <v>18440.517</v>
      </c>
      <c r="E8" s="57">
        <f>F8-D8</f>
        <v>18440.517</v>
      </c>
      <c r="F8" s="56">
        <f>Orçamento!F14+Orçamento!F15</f>
        <v>36881.034</v>
      </c>
      <c r="G8" s="59">
        <f t="shared" si="0"/>
        <v>0.40562855430579464</v>
      </c>
    </row>
    <row r="9" spans="1:7" x14ac:dyDescent="0.25">
      <c r="A9" s="6" t="s">
        <v>15</v>
      </c>
      <c r="B9" s="7" t="s">
        <v>18</v>
      </c>
      <c r="C9" s="57"/>
      <c r="D9" s="57">
        <f>30%*F9</f>
        <v>1638.3239999999998</v>
      </c>
      <c r="E9" s="57">
        <f>F9-D9</f>
        <v>3822.7560000000003</v>
      </c>
      <c r="F9" s="56">
        <f>Orçamento!F17</f>
        <v>5461.08</v>
      </c>
      <c r="G9" s="59">
        <f t="shared" si="0"/>
        <v>6.0062578108528331E-2</v>
      </c>
    </row>
    <row r="10" spans="1:7" ht="15" customHeight="1" x14ac:dyDescent="0.25">
      <c r="A10" s="6" t="s">
        <v>16</v>
      </c>
      <c r="B10" s="7" t="s">
        <v>79</v>
      </c>
      <c r="C10" s="57"/>
      <c r="D10" s="57">
        <f>30%*F10</f>
        <v>1638.3239999999998</v>
      </c>
      <c r="E10" s="57">
        <f>F10-D10</f>
        <v>3822.7560000000003</v>
      </c>
      <c r="F10" s="56">
        <f>Orçamento!F19</f>
        <v>5461.08</v>
      </c>
      <c r="G10" s="59">
        <f t="shared" si="0"/>
        <v>6.0062578108528331E-2</v>
      </c>
    </row>
    <row r="11" spans="1:7" x14ac:dyDescent="0.25">
      <c r="A11" s="6" t="s">
        <v>17</v>
      </c>
      <c r="B11" s="7" t="s">
        <v>20</v>
      </c>
      <c r="C11" s="57"/>
      <c r="D11" s="57"/>
      <c r="E11" s="57">
        <f>F11</f>
        <v>3276.6479999999997</v>
      </c>
      <c r="F11" s="56">
        <f>Orçamento!F21</f>
        <v>3276.6479999999997</v>
      </c>
      <c r="G11" s="59">
        <f t="shared" si="0"/>
        <v>3.6037546865116996E-2</v>
      </c>
    </row>
    <row r="12" spans="1:7" ht="28.5" customHeight="1" x14ac:dyDescent="0.25">
      <c r="A12" s="4" t="s">
        <v>21</v>
      </c>
      <c r="B12" s="5" t="str">
        <f>Orçamento!B22</f>
        <v>Assistência técnica durante a execução da obra</v>
      </c>
      <c r="C12" s="57"/>
      <c r="D12" s="57"/>
      <c r="E12" s="57">
        <f>F12</f>
        <v>4368.8639999999996</v>
      </c>
      <c r="F12" s="56">
        <f>Orçamento!F23</f>
        <v>4368.8639999999996</v>
      </c>
      <c r="G12" s="59">
        <f t="shared" si="0"/>
        <v>4.8050062486822663E-2</v>
      </c>
    </row>
    <row r="13" spans="1:7" ht="32.25" customHeight="1" x14ac:dyDescent="0.25">
      <c r="A13" s="4" t="s">
        <v>25</v>
      </c>
      <c r="B13" s="5" t="s">
        <v>88</v>
      </c>
      <c r="C13" s="57"/>
      <c r="D13" s="57"/>
      <c r="E13" s="57"/>
      <c r="F13" s="56"/>
      <c r="G13" s="59">
        <f t="shared" si="0"/>
        <v>0</v>
      </c>
    </row>
    <row r="14" spans="1:7" x14ac:dyDescent="0.25">
      <c r="A14" s="6" t="s">
        <v>80</v>
      </c>
      <c r="B14" s="7" t="s">
        <v>23</v>
      </c>
      <c r="C14" s="57"/>
      <c r="D14" s="57"/>
      <c r="E14" s="57">
        <f>F14</f>
        <v>3276.6479999999997</v>
      </c>
      <c r="F14" s="56">
        <f>Orçamento!F27</f>
        <v>3276.6479999999997</v>
      </c>
      <c r="G14" s="59">
        <f t="shared" si="0"/>
        <v>3.6037546865116996E-2</v>
      </c>
    </row>
    <row r="15" spans="1:7" x14ac:dyDescent="0.25">
      <c r="A15" s="6" t="s">
        <v>81</v>
      </c>
      <c r="B15" s="7" t="s">
        <v>24</v>
      </c>
      <c r="C15" s="57"/>
      <c r="D15" s="57"/>
      <c r="E15" s="57">
        <f>F15</f>
        <v>2184.4319999999998</v>
      </c>
      <c r="F15" s="56">
        <f>Orçamento!F29</f>
        <v>2184.4319999999998</v>
      </c>
      <c r="G15" s="59">
        <f t="shared" si="0"/>
        <v>2.4025031243411332E-2</v>
      </c>
    </row>
    <row r="16" spans="1:7" ht="23.25" customHeight="1" x14ac:dyDescent="0.25">
      <c r="A16" s="11" t="s">
        <v>44</v>
      </c>
      <c r="B16" s="12" t="s">
        <v>89</v>
      </c>
      <c r="C16" s="57"/>
      <c r="D16" s="57"/>
      <c r="E16" s="57">
        <f>F16</f>
        <v>271.47000000000003</v>
      </c>
      <c r="F16" s="56">
        <f>Orçamento!F31</f>
        <v>271.47000000000003</v>
      </c>
      <c r="G16" s="59">
        <f t="shared" si="0"/>
        <v>2.9857076034634522E-3</v>
      </c>
    </row>
    <row r="17" spans="1:8" ht="21.75" customHeight="1" x14ac:dyDescent="0.25">
      <c r="A17" s="3"/>
      <c r="B17" s="7" t="s">
        <v>43</v>
      </c>
      <c r="C17" s="57">
        <f>SUM(C5:C16)</f>
        <v>9818.2376000000004</v>
      </c>
      <c r="D17" s="57">
        <f>SUM(D5:D16)</f>
        <v>27635.575400000002</v>
      </c>
      <c r="E17" s="57">
        <f>SUM(E5:E16)</f>
        <v>39464.091000000008</v>
      </c>
      <c r="F17" s="57">
        <f>SUM(F5:F16)</f>
        <v>76917.90400000001</v>
      </c>
      <c r="G17" s="59">
        <f t="shared" si="0"/>
        <v>0.84596592925653613</v>
      </c>
      <c r="H17" s="2"/>
    </row>
    <row r="18" spans="1:8" x14ac:dyDescent="0.25">
      <c r="A18" s="4" t="s">
        <v>84</v>
      </c>
      <c r="B18" s="5" t="s">
        <v>45</v>
      </c>
      <c r="C18" s="57">
        <f>C17*'Composição BDI'!B18</f>
        <v>2473.7644531340279</v>
      </c>
      <c r="D18" s="57">
        <f>D17*'Composição BDI'!B18</f>
        <v>6962.9506691124689</v>
      </c>
      <c r="E18" s="57">
        <f>E17*'Composição BDI'!B18</f>
        <v>9943.2168448486646</v>
      </c>
      <c r="F18" s="56">
        <f>F17*'Composição BDI'!B18</f>
        <v>19379.931967095163</v>
      </c>
      <c r="G18" s="59">
        <f t="shared" si="0"/>
        <v>0.21314624167959786</v>
      </c>
      <c r="H18" s="2"/>
    </row>
    <row r="19" spans="1:8" x14ac:dyDescent="0.25">
      <c r="A19" s="3"/>
      <c r="B19" s="13" t="s">
        <v>54</v>
      </c>
      <c r="C19" s="56">
        <f>SUM(C17:C18)</f>
        <v>12292.002053134029</v>
      </c>
      <c r="D19" s="56">
        <f>SUM(D17:D18)</f>
        <v>34598.526069112471</v>
      </c>
      <c r="E19" s="56">
        <f>SUM(E17:E18)</f>
        <v>49407.30784484867</v>
      </c>
      <c r="F19" s="56">
        <f>SUM(F17:F18)</f>
        <v>96297.835967095176</v>
      </c>
      <c r="G19" s="59">
        <f t="shared" si="0"/>
        <v>1.059112170936134</v>
      </c>
    </row>
    <row r="20" spans="1:8" x14ac:dyDescent="0.25">
      <c r="A20" s="3"/>
      <c r="B20" s="15" t="s">
        <v>55</v>
      </c>
      <c r="C20" s="56">
        <f>C19</f>
        <v>12292.002053134029</v>
      </c>
      <c r="D20" s="56">
        <f>C20+D19</f>
        <v>46890.528122246498</v>
      </c>
      <c r="E20" s="56">
        <f>D20+E19</f>
        <v>96297.835967095161</v>
      </c>
      <c r="F20" s="57"/>
      <c r="G20" s="16"/>
    </row>
  </sheetData>
  <mergeCells count="6">
    <mergeCell ref="A1:G1"/>
    <mergeCell ref="A2:A3"/>
    <mergeCell ref="B2:B3"/>
    <mergeCell ref="C2:E2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Composição BDI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Pereira Caraca</dc:creator>
  <cp:lastModifiedBy>Alvanir da Silva Carvalho</cp:lastModifiedBy>
  <cp:lastPrinted>2024-12-30T17:47:38Z</cp:lastPrinted>
  <dcterms:created xsi:type="dcterms:W3CDTF">2024-12-10T16:11:01Z</dcterms:created>
  <dcterms:modified xsi:type="dcterms:W3CDTF">2025-01-13T17:39:30Z</dcterms:modified>
</cp:coreProperties>
</file>